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bookViews>
    <workbookView xWindow="0" yWindow="0" windowWidth="20490" windowHeight="7755" activeTab="1"/>
  </bookViews>
  <sheets>
    <sheet name="Diagramm1" sheetId="2" r:id="rId1"/>
    <sheet name="Tabelle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N53" i="1"/>
  <c r="N52" i="1"/>
  <c r="N51" i="1"/>
  <c r="N49" i="1"/>
  <c r="N48" i="1"/>
  <c r="N42" i="1"/>
  <c r="N41" i="1"/>
  <c r="I45" i="1"/>
  <c r="J45" i="1"/>
  <c r="G45" i="1"/>
  <c r="F45" i="1"/>
  <c r="J41" i="1"/>
  <c r="I41" i="1"/>
  <c r="H57" i="1"/>
  <c r="H55" i="1"/>
  <c r="H54" i="1"/>
  <c r="H53" i="1"/>
  <c r="H51" i="1"/>
  <c r="H50" i="1"/>
  <c r="N30" i="1"/>
  <c r="N25" i="1"/>
  <c r="F25" i="1"/>
  <c r="G25" i="1"/>
  <c r="H25" i="1"/>
  <c r="I25" i="1"/>
  <c r="J25" i="1"/>
  <c r="E25" i="1"/>
  <c r="D23" i="1"/>
  <c r="J26" i="1" s="1"/>
  <c r="E23" i="1"/>
  <c r="F23" i="1"/>
  <c r="G23" i="1"/>
  <c r="H23" i="1"/>
  <c r="I23" i="1"/>
  <c r="J23" i="1"/>
  <c r="J28" i="1" s="1"/>
  <c r="N16" i="1"/>
  <c r="G26" i="1" l="1"/>
  <c r="G28" i="1" s="1"/>
  <c r="E26" i="1"/>
  <c r="E28" i="1" s="1"/>
  <c r="C31" i="1" s="1"/>
  <c r="I26" i="1"/>
  <c r="I28" i="1" s="1"/>
  <c r="L26" i="1"/>
  <c r="F26" i="1"/>
  <c r="F28" i="1" s="1"/>
  <c r="H26" i="1"/>
  <c r="H28" i="1" s="1"/>
  <c r="J31" i="1" l="1"/>
  <c r="J33" i="1" s="1"/>
  <c r="J37" i="1" s="1"/>
  <c r="H31" i="1"/>
  <c r="H33" i="1" s="1"/>
  <c r="I35" i="1" s="1"/>
  <c r="F31" i="1"/>
  <c r="I31" i="1"/>
  <c r="G31" i="1"/>
  <c r="L31" i="1"/>
  <c r="F33" i="1"/>
  <c r="F37" i="1" s="1"/>
  <c r="I33" i="1"/>
  <c r="G33" i="1"/>
  <c r="G37" i="1" s="1"/>
  <c r="I37" i="1" l="1"/>
</calcChain>
</file>

<file path=xl/sharedStrings.xml><?xml version="1.0" encoding="utf-8"?>
<sst xmlns="http://schemas.openxmlformats.org/spreadsheetml/2006/main" count="117" uniqueCount="83">
  <si>
    <t>Betriebsabrechnungsbogen</t>
  </si>
  <si>
    <t>Kostenstellen</t>
  </si>
  <si>
    <t>Kostenarten</t>
  </si>
  <si>
    <t>Werksarzt</t>
  </si>
  <si>
    <t>Feuerwehr</t>
  </si>
  <si>
    <t>Material</t>
  </si>
  <si>
    <t>Fertigung</t>
  </si>
  <si>
    <t>Schreibbüro</t>
  </si>
  <si>
    <t>Verwaltung</t>
  </si>
  <si>
    <t>Vertrieb</t>
  </si>
  <si>
    <t>Fuhrpark</t>
  </si>
  <si>
    <t>200 km</t>
  </si>
  <si>
    <t>50 km</t>
  </si>
  <si>
    <t>80 km</t>
  </si>
  <si>
    <t>30 km</t>
  </si>
  <si>
    <t>10 km</t>
  </si>
  <si>
    <t>5 km</t>
  </si>
  <si>
    <t>500 km</t>
  </si>
  <si>
    <t>875 km</t>
  </si>
  <si>
    <t xml:space="preserve">geteilt </t>
  </si>
  <si>
    <t>875nkm</t>
  </si>
  <si>
    <t>9,14 EUR je km</t>
  </si>
  <si>
    <t>200 km * 9,14 EUR /km</t>
  </si>
  <si>
    <t>50 km * 9,14 EUR/km</t>
  </si>
  <si>
    <t>Kantine</t>
  </si>
  <si>
    <t>4 MA</t>
  </si>
  <si>
    <t>20 MA</t>
  </si>
  <si>
    <t>15 MA</t>
  </si>
  <si>
    <t>250 MA</t>
  </si>
  <si>
    <t>7 MA</t>
  </si>
  <si>
    <t>30 MA</t>
  </si>
  <si>
    <t>12 MA</t>
  </si>
  <si>
    <t>Summe der Schlüsselelemente</t>
  </si>
  <si>
    <t>Summe der Schüsselelemente</t>
  </si>
  <si>
    <t>338 MA</t>
  </si>
  <si>
    <t>geteilt</t>
  </si>
  <si>
    <t>338MA</t>
  </si>
  <si>
    <t>59,17 EUR je MA</t>
  </si>
  <si>
    <t>4 MA * 59,17 EUR/MA</t>
  </si>
  <si>
    <t>Werksschutz</t>
  </si>
  <si>
    <t>80 qm</t>
  </si>
  <si>
    <t>120 qm</t>
  </si>
  <si>
    <t>500 qm</t>
  </si>
  <si>
    <t>2000 qm</t>
  </si>
  <si>
    <t>40 qm</t>
  </si>
  <si>
    <t>70 qm</t>
  </si>
  <si>
    <t>2930 qm</t>
  </si>
  <si>
    <t>3,41 EUR je qm</t>
  </si>
  <si>
    <t>80 qm * 3,41 EUR/qm</t>
  </si>
  <si>
    <t>Miete</t>
  </si>
  <si>
    <t xml:space="preserve">Summe der Schlüsselelemente </t>
  </si>
  <si>
    <t>geteilet</t>
  </si>
  <si>
    <t>17,06 EUR je qm</t>
  </si>
  <si>
    <t>80 qm * 17,06 EUR/qm</t>
  </si>
  <si>
    <t>Summe A der GK</t>
  </si>
  <si>
    <t>334 MA</t>
  </si>
  <si>
    <t>Umlage Werksarzt</t>
  </si>
  <si>
    <t>aufgelöst</t>
  </si>
  <si>
    <t>Umlage Feuerwehr</t>
  </si>
  <si>
    <t>Summe B der GK</t>
  </si>
  <si>
    <t>Summe A plus Umlage Werksarzt</t>
  </si>
  <si>
    <t xml:space="preserve">geteilt druch </t>
  </si>
  <si>
    <t>2730 qm</t>
  </si>
  <si>
    <t>Summe C der GK</t>
  </si>
  <si>
    <t>Umlage Schreibbüro</t>
  </si>
  <si>
    <t>Summe D der GK</t>
  </si>
  <si>
    <t>Einzelkosten</t>
  </si>
  <si>
    <t>Verwendetes Material</t>
  </si>
  <si>
    <t>Löhne</t>
  </si>
  <si>
    <t>Herstellkosten</t>
  </si>
  <si>
    <t>gegeben</t>
  </si>
  <si>
    <t>Materialeinzelkosten</t>
  </si>
  <si>
    <t>Materialgemeinkosten</t>
  </si>
  <si>
    <t>Materialkosten</t>
  </si>
  <si>
    <t>Fertigungslöhne</t>
  </si>
  <si>
    <t>Fertigungsgemeinkosten</t>
  </si>
  <si>
    <t>Fertigungskosten</t>
  </si>
  <si>
    <t>Zuschlagssätze</t>
  </si>
  <si>
    <t>Mateialkosten</t>
  </si>
  <si>
    <t>Fetigungsgemeinkosten</t>
  </si>
  <si>
    <t>Verwaltungsgemeinkosten</t>
  </si>
  <si>
    <t>Vertriebsgemeinkosten</t>
  </si>
  <si>
    <t>Selbstkosten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</si>
</sst>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44" fontId="0" fillId="0" borderId="0" xfId="1" applyFont="1"/>
    <xf numFmtId="44" fontId="2" fillId="0" borderId="0" xfId="1" applyFont="1"/>
    <xf numFmtId="3" fontId="0" fillId="0" borderId="0" xfId="0" applyNumberFormat="1"/>
    <xf numFmtId="44" fontId="0" fillId="0" borderId="0" xfId="0" applyNumberFormat="1"/>
    <xf numFmtId="0" fontId="0" fillId="0" borderId="3" xfId="0" applyBorder="1"/>
    <xf numFmtId="44" fontId="2" fillId="0" borderId="3" xfId="0" applyNumberFormat="1" applyFont="1" applyBorder="1"/>
    <xf numFmtId="0" fontId="0" fillId="0" borderId="0" xfId="0" applyBorder="1"/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164" fontId="2" fillId="0" borderId="0" xfId="0" applyNumberFormat="1" applyFont="1"/>
    <xf numFmtId="44" fontId="7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4" fontId="0" fillId="0" borderId="0" xfId="1" applyFont="1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4" fontId="0" fillId="0" borderId="10" xfId="1" applyFont="1" applyBorder="1"/>
    <xf numFmtId="44" fontId="0" fillId="0" borderId="0" xfId="0" applyNumberFormat="1" applyBorder="1" applyAlignment="1">
      <alignment vertical="center" wrapText="1"/>
    </xf>
    <xf numFmtId="44" fontId="0" fillId="0" borderId="8" xfId="0" applyNumberFormat="1" applyBorder="1" applyAlignment="1">
      <alignment vertical="center" wrapText="1"/>
    </xf>
    <xf numFmtId="0" fontId="8" fillId="0" borderId="12" xfId="0" applyFont="1" applyBorder="1"/>
    <xf numFmtId="0" fontId="8" fillId="0" borderId="13" xfId="0" applyFont="1" applyBorder="1"/>
    <xf numFmtId="10" fontId="8" fillId="0" borderId="13" xfId="2" applyNumberFormat="1" applyFont="1" applyBorder="1"/>
    <xf numFmtId="10" fontId="8" fillId="0" borderId="14" xfId="2" applyNumberFormat="1" applyFont="1" applyBorder="1"/>
    <xf numFmtId="10" fontId="0" fillId="0" borderId="0" xfId="0" applyNumberFormat="1"/>
    <xf numFmtId="10" fontId="0" fillId="0" borderId="10" xfId="0" applyNumberFormat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6248"/>
        <c:axId val="177597424"/>
      </c:barChart>
      <c:catAx>
        <c:axId val="177596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597424"/>
        <c:crosses val="autoZero"/>
        <c:auto val="1"/>
        <c:lblAlgn val="ctr"/>
        <c:lblOffset val="100"/>
        <c:noMultiLvlLbl val="0"/>
      </c:catAx>
      <c:valAx>
        <c:axId val="17759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59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325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629478</xdr:colOff>
      <xdr:row>33</xdr:row>
      <xdr:rowOff>91109</xdr:rowOff>
    </xdr:from>
    <xdr:to>
      <xdr:col>8</xdr:col>
      <xdr:colOff>190500</xdr:colOff>
      <xdr:row>34</xdr:row>
      <xdr:rowOff>99392</xdr:rowOff>
    </xdr:to>
    <xdr:cxnSp macro="">
      <xdr:nvCxnSpPr>
        <xdr:cNvPr id="3" name="Gerade Verbindung mit Pfeil 2"/>
        <xdr:cNvCxnSpPr/>
      </xdr:nvCxnSpPr>
      <xdr:spPr>
        <a:xfrm>
          <a:off x="7992717" y="3511826"/>
          <a:ext cx="538370" cy="198783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7"/>
  <sheetViews>
    <sheetView tabSelected="1" zoomScale="115" zoomScaleNormal="115" workbookViewId="0">
      <selection activeCell="N38" sqref="N38"/>
    </sheetView>
  </sheetViews>
  <sheetFormatPr baseColWidth="10" defaultRowHeight="15" x14ac:dyDescent="0.25"/>
  <cols>
    <col min="2" max="2" width="21.42578125" customWidth="1"/>
    <col min="3" max="3" width="12.85546875" bestFit="1" customWidth="1"/>
    <col min="4" max="4" width="20.42578125" customWidth="1"/>
    <col min="5" max="5" width="19" customWidth="1"/>
    <col min="6" max="7" width="13" bestFit="1" customWidth="1"/>
    <col min="8" max="8" width="14.7109375" bestFit="1" customWidth="1"/>
    <col min="9" max="9" width="14.42578125" bestFit="1" customWidth="1"/>
    <col min="10" max="10" width="15.28515625" customWidth="1"/>
    <col min="11" max="11" width="2.7109375" customWidth="1"/>
    <col min="12" max="12" width="12" bestFit="1" customWidth="1"/>
    <col min="13" max="13" width="25.28515625" customWidth="1"/>
    <col min="14" max="14" width="11.85546875" bestFit="1" customWidth="1"/>
  </cols>
  <sheetData>
    <row r="2" spans="2:14" ht="23.25" x14ac:dyDescent="0.35">
      <c r="B2" s="6" t="s">
        <v>0</v>
      </c>
      <c r="C2" s="6"/>
      <c r="D2" s="6"/>
      <c r="E2" s="6"/>
      <c r="F2" s="6"/>
      <c r="G2" s="6"/>
      <c r="H2" s="6"/>
      <c r="I2" s="6"/>
      <c r="J2" s="6"/>
    </row>
    <row r="5" spans="2:14" ht="18.75" x14ac:dyDescent="0.3">
      <c r="B5" s="4" t="s">
        <v>1</v>
      </c>
      <c r="C5" s="4"/>
      <c r="D5" s="8" t="s">
        <v>3</v>
      </c>
      <c r="E5" s="8" t="s">
        <v>4</v>
      </c>
      <c r="F5" s="5" t="s">
        <v>5</v>
      </c>
      <c r="G5" s="5" t="s">
        <v>6</v>
      </c>
      <c r="H5" s="7" t="s">
        <v>7</v>
      </c>
      <c r="I5" s="5" t="s">
        <v>8</v>
      </c>
      <c r="J5" s="5" t="s">
        <v>9</v>
      </c>
    </row>
    <row r="6" spans="2:14" x14ac:dyDescent="0.25">
      <c r="B6" t="s">
        <v>2</v>
      </c>
    </row>
    <row r="7" spans="2:14" hidden="1" x14ac:dyDescent="0.25">
      <c r="D7" t="s">
        <v>11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  <c r="L7" t="s">
        <v>33</v>
      </c>
      <c r="N7" t="s">
        <v>18</v>
      </c>
    </row>
    <row r="8" spans="2:14" hidden="1" x14ac:dyDescent="0.25">
      <c r="B8" t="s">
        <v>10</v>
      </c>
      <c r="C8" s="9">
        <v>8000</v>
      </c>
      <c r="D8" t="s">
        <v>22</v>
      </c>
      <c r="E8" t="s">
        <v>23</v>
      </c>
      <c r="L8" s="9">
        <v>8000</v>
      </c>
      <c r="M8" t="s">
        <v>19</v>
      </c>
      <c r="N8" t="s">
        <v>20</v>
      </c>
    </row>
    <row r="9" spans="2:14" hidden="1" x14ac:dyDescent="0.25">
      <c r="D9" s="10">
        <v>1828</v>
      </c>
      <c r="E9" s="10">
        <v>457</v>
      </c>
      <c r="F9" s="10">
        <v>731.2</v>
      </c>
      <c r="G9" s="10">
        <v>274.2</v>
      </c>
      <c r="H9" s="10">
        <v>91.4</v>
      </c>
      <c r="I9" s="10">
        <v>45.7</v>
      </c>
      <c r="J9" s="10">
        <v>4570</v>
      </c>
      <c r="L9" t="s">
        <v>21</v>
      </c>
    </row>
    <row r="10" spans="2:14" hidden="1" x14ac:dyDescent="0.25">
      <c r="D10" s="10"/>
      <c r="E10" s="10"/>
      <c r="F10" s="10"/>
      <c r="G10" s="10"/>
      <c r="H10" s="10"/>
      <c r="I10" s="10"/>
      <c r="J10" s="10"/>
    </row>
    <row r="11" spans="2:14" hidden="1" x14ac:dyDescent="0.25">
      <c r="D11" t="s">
        <v>25</v>
      </c>
      <c r="E11" t="s">
        <v>26</v>
      </c>
      <c r="F11" t="s">
        <v>27</v>
      </c>
      <c r="G11" t="s">
        <v>28</v>
      </c>
      <c r="H11" t="s">
        <v>29</v>
      </c>
      <c r="I11" t="s">
        <v>30</v>
      </c>
      <c r="J11" t="s">
        <v>31</v>
      </c>
      <c r="L11" t="s">
        <v>32</v>
      </c>
      <c r="N11" t="s">
        <v>34</v>
      </c>
    </row>
    <row r="12" spans="2:14" hidden="1" x14ac:dyDescent="0.25">
      <c r="B12" t="s">
        <v>24</v>
      </c>
      <c r="C12" s="9">
        <v>20000</v>
      </c>
      <c r="D12" t="s">
        <v>38</v>
      </c>
      <c r="L12" s="9">
        <v>20000</v>
      </c>
      <c r="M12" t="s">
        <v>35</v>
      </c>
      <c r="N12" t="s">
        <v>36</v>
      </c>
    </row>
    <row r="13" spans="2:14" hidden="1" x14ac:dyDescent="0.25">
      <c r="D13" s="10">
        <v>236.68</v>
      </c>
      <c r="E13" s="10">
        <v>1183.4000000000001</v>
      </c>
      <c r="F13" s="10">
        <v>887.55</v>
      </c>
      <c r="G13" s="10">
        <v>14792.5</v>
      </c>
      <c r="H13" s="10">
        <v>414.19</v>
      </c>
      <c r="I13" s="10">
        <v>1775.1</v>
      </c>
      <c r="J13" s="10">
        <v>710.04</v>
      </c>
      <c r="L13" t="s">
        <v>37</v>
      </c>
    </row>
    <row r="14" spans="2:14" hidden="1" x14ac:dyDescent="0.25">
      <c r="D14" s="9"/>
      <c r="E14" s="9"/>
      <c r="F14" s="9"/>
      <c r="G14" s="9"/>
      <c r="H14" s="9"/>
      <c r="I14" s="9"/>
      <c r="J14" s="9"/>
    </row>
    <row r="15" spans="2:14" hidden="1" x14ac:dyDescent="0.25">
      <c r="D15" t="s">
        <v>40</v>
      </c>
      <c r="E15" t="s">
        <v>41</v>
      </c>
      <c r="F15" t="s">
        <v>42</v>
      </c>
      <c r="G15" t="s">
        <v>43</v>
      </c>
      <c r="H15" t="s">
        <v>44</v>
      </c>
      <c r="I15" t="s">
        <v>41</v>
      </c>
      <c r="J15" t="s">
        <v>45</v>
      </c>
      <c r="L15" t="s">
        <v>32</v>
      </c>
      <c r="N15" t="s">
        <v>46</v>
      </c>
    </row>
    <row r="16" spans="2:14" hidden="1" x14ac:dyDescent="0.25">
      <c r="B16" t="s">
        <v>39</v>
      </c>
      <c r="C16" s="9">
        <v>10000</v>
      </c>
      <c r="D16" t="s">
        <v>48</v>
      </c>
      <c r="L16" s="11">
        <v>10000</v>
      </c>
      <c r="M16" t="s">
        <v>19</v>
      </c>
      <c r="N16" t="str">
        <f>N15</f>
        <v>2930 qm</v>
      </c>
    </row>
    <row r="17" spans="2:14" hidden="1" x14ac:dyDescent="0.25">
      <c r="D17" s="10">
        <v>272.8</v>
      </c>
      <c r="E17" s="10">
        <v>409.2</v>
      </c>
      <c r="F17" s="10">
        <v>1705</v>
      </c>
      <c r="G17" s="10">
        <v>6820</v>
      </c>
      <c r="H17" s="10">
        <v>136.4</v>
      </c>
      <c r="I17" s="10">
        <v>409.2</v>
      </c>
      <c r="J17" s="10">
        <v>238.7</v>
      </c>
      <c r="L17" t="s">
        <v>47</v>
      </c>
    </row>
    <row r="18" spans="2:14" hidden="1" x14ac:dyDescent="0.25">
      <c r="D18" s="10"/>
      <c r="E18" s="10"/>
      <c r="F18" s="10"/>
      <c r="G18" s="10"/>
      <c r="H18" s="10"/>
      <c r="I18" s="10"/>
      <c r="J18" s="10"/>
    </row>
    <row r="19" spans="2:14" hidden="1" x14ac:dyDescent="0.25"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41</v>
      </c>
      <c r="J19" t="s">
        <v>45</v>
      </c>
      <c r="L19" t="s">
        <v>50</v>
      </c>
      <c r="N19" t="s">
        <v>46</v>
      </c>
    </row>
    <row r="20" spans="2:14" hidden="1" x14ac:dyDescent="0.25">
      <c r="B20" t="s">
        <v>49</v>
      </c>
      <c r="C20" s="9">
        <v>50000</v>
      </c>
      <c r="D20" t="s">
        <v>53</v>
      </c>
      <c r="L20" s="11">
        <v>50000</v>
      </c>
      <c r="M20" t="s">
        <v>51</v>
      </c>
      <c r="N20" t="s">
        <v>46</v>
      </c>
    </row>
    <row r="21" spans="2:14" hidden="1" x14ac:dyDescent="0.25">
      <c r="D21" s="10">
        <v>1364.8</v>
      </c>
      <c r="E21" s="10">
        <v>2047.2</v>
      </c>
      <c r="F21" s="10">
        <v>8530</v>
      </c>
      <c r="G21" s="10">
        <v>34120</v>
      </c>
      <c r="H21" s="10">
        <v>682.4</v>
      </c>
      <c r="I21" s="10">
        <v>2047.2</v>
      </c>
      <c r="J21" s="10">
        <v>1194.2</v>
      </c>
      <c r="L21" t="s">
        <v>52</v>
      </c>
    </row>
    <row r="22" spans="2:14" hidden="1" x14ac:dyDescent="0.25"/>
    <row r="23" spans="2:14" ht="15.75" hidden="1" thickBot="1" x14ac:dyDescent="0.3">
      <c r="B23" s="13" t="s">
        <v>54</v>
      </c>
      <c r="C23" s="13"/>
      <c r="D23" s="14">
        <f>D9+D13+D17+D21</f>
        <v>3702.2799999999997</v>
      </c>
      <c r="E23" s="14">
        <f t="shared" ref="E23:J23" si="0">E9+E13+E17+E21</f>
        <v>4096.8</v>
      </c>
      <c r="F23" s="14">
        <f t="shared" si="0"/>
        <v>11853.75</v>
      </c>
      <c r="G23" s="14">
        <f t="shared" si="0"/>
        <v>56006.7</v>
      </c>
      <c r="H23" s="14">
        <f t="shared" si="0"/>
        <v>1324.3899999999999</v>
      </c>
      <c r="I23" s="14">
        <f t="shared" si="0"/>
        <v>4277.2</v>
      </c>
      <c r="J23" s="14">
        <f t="shared" si="0"/>
        <v>6712.94</v>
      </c>
    </row>
    <row r="24" spans="2:14" hidden="1" x14ac:dyDescent="0.25"/>
    <row r="25" spans="2:14" hidden="1" x14ac:dyDescent="0.25">
      <c r="D25" s="3" t="s">
        <v>57</v>
      </c>
      <c r="E25" s="2" t="str">
        <f>E11</f>
        <v>20 MA</v>
      </c>
      <c r="F25" s="2" t="str">
        <f t="shared" ref="F25:J25" si="1">F11</f>
        <v>15 MA</v>
      </c>
      <c r="G25" s="2" t="str">
        <f t="shared" si="1"/>
        <v>250 MA</v>
      </c>
      <c r="H25" s="2" t="str">
        <f t="shared" si="1"/>
        <v>7 MA</v>
      </c>
      <c r="I25" s="2" t="str">
        <f t="shared" si="1"/>
        <v>30 MA</v>
      </c>
      <c r="J25" s="2" t="str">
        <f t="shared" si="1"/>
        <v>12 MA</v>
      </c>
      <c r="L25" t="s">
        <v>32</v>
      </c>
      <c r="N25">
        <f>20+15+250+7+30+12</f>
        <v>334</v>
      </c>
    </row>
    <row r="26" spans="2:14" hidden="1" x14ac:dyDescent="0.25">
      <c r="B26" t="s">
        <v>56</v>
      </c>
      <c r="D26" s="3"/>
      <c r="E26" s="10">
        <f>($D$23/334)*20</f>
        <v>221.69341317365269</v>
      </c>
      <c r="F26" s="10">
        <f>($D$23/334)*15</f>
        <v>166.27005988023953</v>
      </c>
      <c r="G26" s="10">
        <f>($D$23/334)*250</f>
        <v>2771.1676646706587</v>
      </c>
      <c r="H26" s="10">
        <f>($D$23/334)*7</f>
        <v>77.592694610778437</v>
      </c>
      <c r="I26" s="10">
        <f>($D$23/334)*30</f>
        <v>332.54011976047906</v>
      </c>
      <c r="J26" s="10">
        <f>($D$23/334)*12</f>
        <v>133.01604790419162</v>
      </c>
      <c r="L26" s="12">
        <f>D23</f>
        <v>3702.2799999999997</v>
      </c>
      <c r="M26" t="s">
        <v>35</v>
      </c>
      <c r="N26" t="s">
        <v>55</v>
      </c>
    </row>
    <row r="27" spans="2:14" hidden="1" x14ac:dyDescent="0.25">
      <c r="D27" s="2"/>
      <c r="E27" s="10"/>
      <c r="F27" s="10"/>
      <c r="G27" s="10"/>
      <c r="H27" s="10"/>
      <c r="I27" s="10"/>
      <c r="J27" s="10"/>
      <c r="L27" s="12"/>
    </row>
    <row r="28" spans="2:14" ht="15.75" hidden="1" thickBot="1" x14ac:dyDescent="0.3">
      <c r="B28" s="13" t="s">
        <v>59</v>
      </c>
      <c r="C28" s="13"/>
      <c r="D28" s="19" t="s">
        <v>57</v>
      </c>
      <c r="E28" s="14">
        <f>E23+E26</f>
        <v>4318.4934131736527</v>
      </c>
      <c r="F28" s="14">
        <f t="shared" ref="F28:J28" si="2">F23+F26</f>
        <v>12020.02005988024</v>
      </c>
      <c r="G28" s="14">
        <f t="shared" si="2"/>
        <v>58777.867664670659</v>
      </c>
      <c r="H28" s="14">
        <f t="shared" si="2"/>
        <v>1401.9826946107783</v>
      </c>
      <c r="I28" s="14">
        <f t="shared" si="2"/>
        <v>4609.7401197604786</v>
      </c>
      <c r="J28" s="14">
        <f t="shared" si="2"/>
        <v>6845.9560479041911</v>
      </c>
      <c r="L28" s="12" t="s">
        <v>60</v>
      </c>
    </row>
    <row r="29" spans="2:14" hidden="1" x14ac:dyDescent="0.25">
      <c r="B29" s="15"/>
      <c r="C29" s="15"/>
      <c r="D29" s="16"/>
      <c r="E29" s="17"/>
      <c r="F29" s="17"/>
      <c r="G29" s="17"/>
      <c r="H29" s="17"/>
      <c r="I29" s="17"/>
      <c r="J29" s="17"/>
      <c r="L29" s="12"/>
    </row>
    <row r="30" spans="2:14" hidden="1" x14ac:dyDescent="0.25">
      <c r="F30" t="s">
        <v>42</v>
      </c>
      <c r="G30" t="s">
        <v>43</v>
      </c>
      <c r="H30" t="s">
        <v>44</v>
      </c>
      <c r="I30" t="s">
        <v>41</v>
      </c>
      <c r="J30" t="s">
        <v>45</v>
      </c>
      <c r="L30" t="s">
        <v>32</v>
      </c>
      <c r="N30">
        <f>500+2000+40+120+70</f>
        <v>2730</v>
      </c>
    </row>
    <row r="31" spans="2:14" hidden="1" x14ac:dyDescent="0.25">
      <c r="B31" t="s">
        <v>58</v>
      </c>
      <c r="C31" s="12">
        <f>E28</f>
        <v>4318.4934131736527</v>
      </c>
      <c r="F31" s="18">
        <f>($C$31/2730)*500</f>
        <v>790.93285955561407</v>
      </c>
      <c r="G31" s="18">
        <f>($C$31/2730)*2000</f>
        <v>3163.7314382224563</v>
      </c>
      <c r="H31" s="18">
        <f>($C$31/2730)*40</f>
        <v>63.274628764449126</v>
      </c>
      <c r="I31" s="18">
        <f>($C$31/2730)*120</f>
        <v>189.82388629334739</v>
      </c>
      <c r="J31" s="18">
        <f>($C$31/2730)*70</f>
        <v>110.73060033778597</v>
      </c>
      <c r="L31" s="12">
        <f>C31</f>
        <v>4318.4934131736527</v>
      </c>
      <c r="M31" t="s">
        <v>61</v>
      </c>
      <c r="N31" t="s">
        <v>62</v>
      </c>
    </row>
    <row r="32" spans="2:14" hidden="1" x14ac:dyDescent="0.25"/>
    <row r="33" spans="2:15" ht="15.75" hidden="1" thickBot="1" x14ac:dyDescent="0.3">
      <c r="B33" s="13" t="s">
        <v>63</v>
      </c>
      <c r="C33" s="13"/>
      <c r="D33" s="19" t="s">
        <v>57</v>
      </c>
      <c r="E33" s="19" t="s">
        <v>57</v>
      </c>
      <c r="F33" s="14">
        <f>F28+F31</f>
        <v>12810.952919435855</v>
      </c>
      <c r="G33" s="14">
        <f t="shared" ref="G33:J33" si="3">G28+G31</f>
        <v>61941.599102893117</v>
      </c>
      <c r="H33" s="14">
        <f t="shared" si="3"/>
        <v>1465.2573233752273</v>
      </c>
      <c r="I33" s="14">
        <f t="shared" si="3"/>
        <v>4799.5640060538262</v>
      </c>
      <c r="J33" s="14">
        <f t="shared" si="3"/>
        <v>6956.6866482419773</v>
      </c>
    </row>
    <row r="34" spans="2:15" hidden="1" x14ac:dyDescent="0.25"/>
    <row r="35" spans="2:15" hidden="1" x14ac:dyDescent="0.25">
      <c r="B35" t="s">
        <v>64</v>
      </c>
      <c r="F35" s="10">
        <v>0</v>
      </c>
      <c r="G35" s="10">
        <v>0</v>
      </c>
      <c r="H35" s="10"/>
      <c r="I35" s="10">
        <f>H33</f>
        <v>1465.2573233752273</v>
      </c>
      <c r="J35" s="10">
        <v>0</v>
      </c>
    </row>
    <row r="37" spans="2:15" ht="15.75" thickBot="1" x14ac:dyDescent="0.3">
      <c r="B37" s="13" t="s">
        <v>65</v>
      </c>
      <c r="C37" s="13"/>
      <c r="D37" s="19" t="s">
        <v>57</v>
      </c>
      <c r="E37" s="19" t="s">
        <v>57</v>
      </c>
      <c r="F37" s="14">
        <f>F33</f>
        <v>12810.952919435855</v>
      </c>
      <c r="G37" s="14">
        <f>G33</f>
        <v>61941.599102893117</v>
      </c>
      <c r="H37" s="19" t="s">
        <v>57</v>
      </c>
      <c r="I37" s="14">
        <f>I33+I35</f>
        <v>6264.8213294290535</v>
      </c>
      <c r="J37" s="14">
        <f>J33</f>
        <v>6956.6866482419773</v>
      </c>
    </row>
    <row r="38" spans="2:15" ht="15.75" thickBot="1" x14ac:dyDescent="0.3"/>
    <row r="39" spans="2:15" ht="30" x14ac:dyDescent="0.25">
      <c r="B39" s="20" t="s">
        <v>66</v>
      </c>
      <c r="C39" s="21"/>
      <c r="D39" s="21"/>
      <c r="E39" s="21"/>
      <c r="F39" s="22" t="s">
        <v>67</v>
      </c>
      <c r="G39" s="22" t="s">
        <v>68</v>
      </c>
      <c r="H39" s="22"/>
      <c r="I39" s="22" t="s">
        <v>69</v>
      </c>
      <c r="J39" s="23" t="s">
        <v>69</v>
      </c>
    </row>
    <row r="40" spans="2:15" x14ac:dyDescent="0.25">
      <c r="B40" s="24"/>
      <c r="C40" s="15"/>
      <c r="D40" s="15"/>
      <c r="E40" s="15"/>
      <c r="F40" s="25"/>
      <c r="G40" s="25"/>
      <c r="H40" s="25"/>
      <c r="I40" s="25"/>
      <c r="J40" s="26"/>
      <c r="M40" t="s">
        <v>5</v>
      </c>
      <c r="N40" s="10">
        <v>200</v>
      </c>
    </row>
    <row r="41" spans="2:15" ht="15.75" thickBot="1" x14ac:dyDescent="0.3">
      <c r="B41" s="24"/>
      <c r="C41" s="15"/>
      <c r="D41" s="15"/>
      <c r="E41" s="15"/>
      <c r="F41" s="27">
        <v>20000</v>
      </c>
      <c r="G41" s="27">
        <v>50000</v>
      </c>
      <c r="H41" s="25"/>
      <c r="I41" s="33">
        <f>H57</f>
        <v>144752.55202232898</v>
      </c>
      <c r="J41" s="34">
        <f>H57</f>
        <v>144752.55202232898</v>
      </c>
      <c r="M41" s="28" t="s">
        <v>72</v>
      </c>
      <c r="N41" s="32">
        <f>N40/100*64.05</f>
        <v>128.1</v>
      </c>
      <c r="O41" s="40">
        <v>0.64049999999999996</v>
      </c>
    </row>
    <row r="42" spans="2:15" ht="15.75" thickBot="1" x14ac:dyDescent="0.3">
      <c r="B42" s="31"/>
      <c r="C42" s="28"/>
      <c r="D42" s="28"/>
      <c r="E42" s="28"/>
      <c r="F42" s="29" t="s">
        <v>70</v>
      </c>
      <c r="G42" s="29" t="s">
        <v>70</v>
      </c>
      <c r="H42" s="29"/>
      <c r="I42" s="29"/>
      <c r="J42" s="30"/>
      <c r="M42" t="s">
        <v>78</v>
      </c>
      <c r="N42" s="9">
        <f>N40+N41</f>
        <v>328.1</v>
      </c>
    </row>
    <row r="43" spans="2:15" x14ac:dyDescent="0.25">
      <c r="N43" s="9"/>
    </row>
    <row r="44" spans="2:15" ht="15.75" thickBot="1" x14ac:dyDescent="0.3">
      <c r="N44" s="9"/>
    </row>
    <row r="45" spans="2:15" ht="21.75" thickBot="1" x14ac:dyDescent="0.4">
      <c r="B45" s="35" t="s">
        <v>77</v>
      </c>
      <c r="C45" s="36"/>
      <c r="D45" s="36"/>
      <c r="E45" s="36"/>
      <c r="F45" s="37">
        <f>F37/F41</f>
        <v>0.6405476459717927</v>
      </c>
      <c r="G45" s="37">
        <f>G37/G41</f>
        <v>1.2388319820578624</v>
      </c>
      <c r="H45" s="37"/>
      <c r="I45" s="37">
        <f t="shared" ref="H45:J45" si="4">I37/I41</f>
        <v>4.3279522480976128E-2</v>
      </c>
      <c r="J45" s="38">
        <f t="shared" si="4"/>
        <v>4.8059164077251401E-2</v>
      </c>
      <c r="N45" s="9"/>
    </row>
    <row r="46" spans="2:15" x14ac:dyDescent="0.25">
      <c r="N46" s="9"/>
    </row>
    <row r="47" spans="2:15" x14ac:dyDescent="0.25">
      <c r="M47" t="s">
        <v>68</v>
      </c>
      <c r="N47" s="10">
        <v>500</v>
      </c>
    </row>
    <row r="48" spans="2:15" ht="15.75" thickBot="1" x14ac:dyDescent="0.3">
      <c r="M48" s="28" t="s">
        <v>79</v>
      </c>
      <c r="N48" s="32">
        <f>N47/100*123.88</f>
        <v>619.4</v>
      </c>
      <c r="O48" s="40">
        <v>1.2387999999999999</v>
      </c>
    </row>
    <row r="49" spans="6:15" x14ac:dyDescent="0.25">
      <c r="F49" t="s">
        <v>71</v>
      </c>
      <c r="H49" s="9">
        <v>20000</v>
      </c>
      <c r="M49" t="s">
        <v>76</v>
      </c>
      <c r="N49" s="9">
        <f>N47+N48</f>
        <v>1119.4000000000001</v>
      </c>
    </row>
    <row r="50" spans="6:15" ht="15.75" thickBot="1" x14ac:dyDescent="0.3">
      <c r="F50" s="28" t="s">
        <v>72</v>
      </c>
      <c r="G50" s="28"/>
      <c r="H50" s="32">
        <f>F37</f>
        <v>12810.952919435855</v>
      </c>
      <c r="N50" s="9"/>
    </row>
    <row r="51" spans="6:15" x14ac:dyDescent="0.25">
      <c r="F51" t="s">
        <v>73</v>
      </c>
      <c r="H51" s="9">
        <f>H49+H50</f>
        <v>32810.952919435855</v>
      </c>
      <c r="M51" t="s">
        <v>69</v>
      </c>
      <c r="N51" s="9">
        <f>N42+N49</f>
        <v>1447.5</v>
      </c>
    </row>
    <row r="52" spans="6:15" x14ac:dyDescent="0.25">
      <c r="H52" s="9"/>
      <c r="M52" t="s">
        <v>80</v>
      </c>
      <c r="N52" s="9">
        <f>N51/100*4.33</f>
        <v>62.676749999999998</v>
      </c>
      <c r="O52" s="39">
        <v>4.3299999999999998E-2</v>
      </c>
    </row>
    <row r="53" spans="6:15" x14ac:dyDescent="0.25">
      <c r="F53" t="s">
        <v>74</v>
      </c>
      <c r="H53" s="9">
        <f>G41</f>
        <v>50000</v>
      </c>
      <c r="M53" t="s">
        <v>81</v>
      </c>
      <c r="N53" s="9">
        <f>N51/100*4.81</f>
        <v>69.624749999999992</v>
      </c>
      <c r="O53" s="39">
        <v>4.8099999999999997E-2</v>
      </c>
    </row>
    <row r="54" spans="6:15" ht="15.75" thickBot="1" x14ac:dyDescent="0.3">
      <c r="F54" s="28" t="s">
        <v>75</v>
      </c>
      <c r="G54" s="28"/>
      <c r="H54" s="32">
        <f>G37</f>
        <v>61941.599102893117</v>
      </c>
      <c r="N54" s="9"/>
    </row>
    <row r="55" spans="6:15" x14ac:dyDescent="0.25">
      <c r="F55" t="s">
        <v>76</v>
      </c>
      <c r="H55" s="9">
        <f>H53+H54</f>
        <v>111941.59910289312</v>
      </c>
      <c r="M55" s="1" t="s">
        <v>82</v>
      </c>
      <c r="N55" s="10">
        <f>N51+N52+N53</f>
        <v>1579.8015</v>
      </c>
    </row>
    <row r="56" spans="6:15" x14ac:dyDescent="0.25">
      <c r="H56" s="9"/>
    </row>
    <row r="57" spans="6:15" x14ac:dyDescent="0.25">
      <c r="F57" s="1" t="s">
        <v>69</v>
      </c>
      <c r="G57" s="1"/>
      <c r="H57" s="10">
        <f>H51+H55</f>
        <v>144752.55202232898</v>
      </c>
    </row>
  </sheetData>
  <mergeCells count="3">
    <mergeCell ref="B2:J2"/>
    <mergeCell ref="D25:D26"/>
    <mergeCell ref="B39:B4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Tabelle1</vt:lpstr>
      <vt:lpstr>Diagramm1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2017-09-07T05:51:06Z</dcterms:created>
  <dcterms:modified xsi:type="dcterms:W3CDTF">2017-09-07T13:44:12Z</dcterms:modified>
</cp:coreProperties>
</file>